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8" yWindow="-12" windowWidth="9624" windowHeight="7260"/>
  </bookViews>
  <sheets>
    <sheet name="Data Entry" sheetId="1" r:id="rId1"/>
    <sheet name="Results - Tables" sheetId="2" r:id="rId2"/>
    <sheet name="Calculation sheet" sheetId="3" r:id="rId3"/>
  </sheets>
  <calcPr calcId="145621"/>
</workbook>
</file>

<file path=xl/calcChain.xml><?xml version="1.0" encoding="utf-8"?>
<calcChain xmlns="http://schemas.openxmlformats.org/spreadsheetml/2006/main">
  <c r="B38" i="1" l="1"/>
  <c r="B44" i="1" l="1"/>
  <c r="C53" i="1"/>
  <c r="B53" i="1"/>
  <c r="F50" i="3" l="1"/>
  <c r="E50" i="3"/>
  <c r="C50" i="3"/>
  <c r="B50" i="3"/>
  <c r="F5" i="3"/>
  <c r="F6" i="3"/>
  <c r="F53" i="3" s="1"/>
  <c r="F7" i="3"/>
  <c r="F8" i="3"/>
  <c r="F4" i="3"/>
  <c r="F42" i="3" s="1"/>
  <c r="C5" i="3"/>
  <c r="C52" i="3" s="1"/>
  <c r="C6" i="3"/>
  <c r="C7" i="3"/>
  <c r="C8" i="3"/>
  <c r="E5" i="3"/>
  <c r="E52" i="3" s="1"/>
  <c r="E6" i="3"/>
  <c r="E53" i="3" s="1"/>
  <c r="E7" i="3"/>
  <c r="E54" i="3" s="1"/>
  <c r="E8" i="3"/>
  <c r="E4" i="3"/>
  <c r="E23" i="3" s="1"/>
  <c r="C4" i="3"/>
  <c r="C41" i="3" s="1"/>
  <c r="B5" i="3"/>
  <c r="B52" i="3" s="1"/>
  <c r="B6" i="3"/>
  <c r="B53" i="3" s="1"/>
  <c r="B7" i="3"/>
  <c r="B54" i="3" s="1"/>
  <c r="B8" i="3"/>
  <c r="B4" i="3"/>
  <c r="C45" i="3" l="1"/>
  <c r="B42" i="3"/>
  <c r="C51" i="3"/>
  <c r="F34" i="3"/>
  <c r="G8" i="3"/>
  <c r="F18" i="3"/>
  <c r="D6" i="3"/>
  <c r="B17" i="3"/>
  <c r="B33" i="3"/>
  <c r="F33" i="3"/>
  <c r="C9" i="3"/>
  <c r="E24" i="3"/>
  <c r="E14" i="3"/>
  <c r="G14" i="3" s="1"/>
  <c r="B25" i="3"/>
  <c r="C35" i="3"/>
  <c r="E42" i="3"/>
  <c r="G42" i="3" s="1"/>
  <c r="D8" i="3"/>
  <c r="C36" i="3"/>
  <c r="G4" i="3"/>
  <c r="F14" i="3"/>
  <c r="C23" i="3"/>
  <c r="E32" i="3"/>
  <c r="B43" i="3"/>
  <c r="B51" i="3"/>
  <c r="B27" i="3"/>
  <c r="F45" i="3"/>
  <c r="E15" i="3"/>
  <c r="C27" i="3"/>
  <c r="E33" i="3"/>
  <c r="E41" i="3"/>
  <c r="E51" i="3"/>
  <c r="E55" i="3" s="1"/>
  <c r="C54" i="3"/>
  <c r="D54" i="3" s="1"/>
  <c r="D52" i="3"/>
  <c r="B9" i="3"/>
  <c r="C16" i="3"/>
  <c r="E36" i="3"/>
  <c r="E45" i="3"/>
  <c r="F43" i="3"/>
  <c r="E9" i="3"/>
  <c r="D5" i="3"/>
  <c r="G7" i="3"/>
  <c r="F15" i="3"/>
  <c r="E16" i="3"/>
  <c r="C17" i="3"/>
  <c r="B18" i="3"/>
  <c r="B14" i="3"/>
  <c r="C26" i="3"/>
  <c r="F26" i="3"/>
  <c r="B24" i="3"/>
  <c r="B36" i="3"/>
  <c r="E34" i="3"/>
  <c r="C33" i="3"/>
  <c r="F32" i="3"/>
  <c r="F36" i="3"/>
  <c r="B44" i="3"/>
  <c r="C42" i="3"/>
  <c r="E43" i="3"/>
  <c r="F44" i="3"/>
  <c r="F52" i="3"/>
  <c r="G52" i="3" s="1"/>
  <c r="F54" i="3"/>
  <c r="E26" i="3"/>
  <c r="F25" i="3"/>
  <c r="D7" i="3"/>
  <c r="G5" i="3"/>
  <c r="E25" i="3"/>
  <c r="F17" i="3"/>
  <c r="E18" i="3"/>
  <c r="C15" i="3"/>
  <c r="B16" i="3"/>
  <c r="C24" i="3"/>
  <c r="F23" i="3"/>
  <c r="G23" i="3" s="1"/>
  <c r="F27" i="3"/>
  <c r="B26" i="3"/>
  <c r="B35" i="3"/>
  <c r="B32" i="3"/>
  <c r="C34" i="3"/>
  <c r="F35" i="3"/>
  <c r="B41" i="3"/>
  <c r="D41" i="3" s="1"/>
  <c r="B45" i="3"/>
  <c r="D45" i="3" s="1"/>
  <c r="C44" i="3"/>
  <c r="F41" i="3"/>
  <c r="C53" i="3"/>
  <c r="D53" i="3" s="1"/>
  <c r="F51" i="3"/>
  <c r="G51" i="3" s="1"/>
  <c r="D4" i="3"/>
  <c r="G6" i="3"/>
  <c r="E27" i="3"/>
  <c r="F16" i="3"/>
  <c r="G16" i="3" s="1"/>
  <c r="E17" i="3"/>
  <c r="C18" i="3"/>
  <c r="C14" i="3"/>
  <c r="D14" i="3" s="1"/>
  <c r="B15" i="3"/>
  <c r="C25" i="3"/>
  <c r="F24" i="3"/>
  <c r="B23" i="3"/>
  <c r="B34" i="3"/>
  <c r="E35" i="3"/>
  <c r="C32" i="3"/>
  <c r="C43" i="3"/>
  <c r="E44" i="3"/>
  <c r="G50" i="3"/>
  <c r="G53" i="3"/>
  <c r="D50" i="3"/>
  <c r="F9" i="3"/>
  <c r="D42" i="3" l="1"/>
  <c r="G35" i="3"/>
  <c r="G15" i="3"/>
  <c r="G41" i="3"/>
  <c r="G32" i="3"/>
  <c r="D23" i="3"/>
  <c r="G43" i="3"/>
  <c r="D24" i="3"/>
  <c r="D17" i="3"/>
  <c r="G26" i="3"/>
  <c r="B46" i="3"/>
  <c r="F55" i="3"/>
  <c r="G55" i="3" s="1"/>
  <c r="C9" i="2" s="1"/>
  <c r="D35" i="3"/>
  <c r="D51" i="3"/>
  <c r="G9" i="3"/>
  <c r="C4" i="2" s="1"/>
  <c r="D33" i="3"/>
  <c r="D27" i="3"/>
  <c r="D43" i="3"/>
  <c r="G18" i="3"/>
  <c r="G33" i="3"/>
  <c r="D25" i="3"/>
  <c r="E28" i="3"/>
  <c r="B37" i="3"/>
  <c r="C55" i="3"/>
  <c r="G44" i="3"/>
  <c r="G34" i="3"/>
  <c r="D9" i="3"/>
  <c r="B4" i="2" s="1"/>
  <c r="F28" i="3"/>
  <c r="G54" i="3"/>
  <c r="D32" i="3"/>
  <c r="F46" i="3"/>
  <c r="G24" i="3"/>
  <c r="B55" i="3"/>
  <c r="C37" i="3"/>
  <c r="G45" i="3"/>
  <c r="D34" i="3"/>
  <c r="B19" i="3"/>
  <c r="E37" i="3"/>
  <c r="D26" i="3"/>
  <c r="E19" i="3"/>
  <c r="C19" i="3"/>
  <c r="G27" i="3"/>
  <c r="G17" i="3"/>
  <c r="G25" i="3"/>
  <c r="G36" i="3"/>
  <c r="D36" i="3"/>
  <c r="D16" i="3"/>
  <c r="C46" i="3"/>
  <c r="E46" i="3"/>
  <c r="C28" i="3"/>
  <c r="F19" i="3"/>
  <c r="B28" i="3"/>
  <c r="F37" i="3"/>
  <c r="D18" i="3"/>
  <c r="D44" i="3"/>
  <c r="D15" i="3"/>
  <c r="D19" i="3" l="1"/>
  <c r="B5" i="2" s="1"/>
  <c r="D46" i="3"/>
  <c r="B8" i="2" s="1"/>
  <c r="D55" i="3"/>
  <c r="B9" i="2" s="1"/>
  <c r="G28" i="3"/>
  <c r="C6" i="2" s="1"/>
  <c r="D37" i="3"/>
  <c r="B7" i="2" s="1"/>
  <c r="G19" i="3"/>
  <c r="C5" i="2" s="1"/>
  <c r="G37" i="3"/>
  <c r="C7" i="2" s="1"/>
  <c r="G46" i="3"/>
  <c r="C8" i="2" s="1"/>
  <c r="D28" i="3"/>
  <c r="B6" i="2" s="1"/>
</calcChain>
</file>

<file path=xl/sharedStrings.xml><?xml version="1.0" encoding="utf-8"?>
<sst xmlns="http://schemas.openxmlformats.org/spreadsheetml/2006/main" count="153" uniqueCount="45">
  <si>
    <t>Enter your own data, or hypothetical data, in the green cells.</t>
  </si>
  <si>
    <t>Total number of employed nurses</t>
  </si>
  <si>
    <t>Model value</t>
  </si>
  <si>
    <t>Your value</t>
  </si>
  <si>
    <t>31-40 years</t>
  </si>
  <si>
    <t>41-50 years</t>
  </si>
  <si>
    <t>51-60 years</t>
  </si>
  <si>
    <t>61 years and older</t>
  </si>
  <si>
    <t>Age distribution of employed nurses (percentages)</t>
  </si>
  <si>
    <t>Total number of employed BSN+ nurses</t>
  </si>
  <si>
    <t>Age distribution of employed BSN+ nurses</t>
  </si>
  <si>
    <t>Annual numbers of entry-level program graduates</t>
  </si>
  <si>
    <t>AD &amp; Diploma</t>
  </si>
  <si>
    <t>BSN &amp; Master's</t>
  </si>
  <si>
    <t>Age distribution of AD &amp; Diploma graduates</t>
  </si>
  <si>
    <t>Age distribution of BSN+ graduates</t>
  </si>
  <si>
    <t>Annual numbers of RN-to-BSN program graduates</t>
  </si>
  <si>
    <t># employed RNs</t>
  </si>
  <si>
    <t># employed BSN+</t>
  </si>
  <si>
    <t># RN-to-BSN grads</t>
  </si>
  <si>
    <t>Age distribution of RN-to-BSN graduates</t>
  </si>
  <si>
    <t>Created by Joanne Spetz, Ph.D.</t>
  </si>
  <si>
    <t>University of California, San Francisco</t>
  </si>
  <si>
    <t>Results of baseline &amp; custom-data model</t>
  </si>
  <si>
    <t>total</t>
  </si>
  <si>
    <t>BSN</t>
  </si>
  <si>
    <t>% BSN</t>
  </si>
  <si>
    <t>TOTAL</t>
  </si>
  <si>
    <t>Baseline</t>
  </si>
  <si>
    <t>Custom</t>
  </si>
  <si>
    <t>Source: California BRN Survey of RN Education Experiences</t>
  </si>
  <si>
    <t>Source: California BRN Annual Schools Report, 2014-15</t>
  </si>
  <si>
    <t>Source: American Community Survey, 2015</t>
  </si>
  <si>
    <t>Source: NCSBN, 2015</t>
  </si>
  <si>
    <t>Sources: AACN, 2015</t>
  </si>
  <si>
    <t>Current year (2015)</t>
  </si>
  <si>
    <t>2-year result (2017)</t>
  </si>
  <si>
    <t>4-year result (2019)</t>
  </si>
  <si>
    <t>6-year result (2021)</t>
  </si>
  <si>
    <t>8-year result (2023)</t>
  </si>
  <si>
    <t>10-year result (2025)</t>
  </si>
  <si>
    <t>&lt;31 years</t>
  </si>
  <si>
    <t>Funded by AONE / Robert Wood Johnson Foundation</t>
  </si>
  <si>
    <t>BSN forecasting tool - United States</t>
  </si>
  <si>
    <t>Version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</si>
</sst>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166" fontId="2" fillId="0" borderId="0" xfId="2" applyNumberFormat="1" applyFont="1"/>
    <xf numFmtId="165" fontId="2" fillId="3" borderId="0" xfId="1" applyNumberFormat="1" applyFont="1" applyFill="1" applyBorder="1"/>
    <xf numFmtId="10" fontId="2" fillId="3" borderId="0" xfId="0" applyNumberFormat="1" applyFont="1" applyFill="1" applyBorder="1"/>
    <xf numFmtId="3" fontId="2" fillId="3" borderId="0" xfId="0" applyNumberFormat="1" applyFont="1" applyFill="1" applyBorder="1"/>
    <xf numFmtId="166" fontId="2" fillId="3" borderId="0" xfId="0" applyNumberFormat="1" applyFont="1" applyFill="1" applyBorder="1"/>
    <xf numFmtId="0" fontId="2" fillId="0" borderId="3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165" fontId="2" fillId="2" borderId="5" xfId="1" applyNumberFormat="1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Protection="1">
      <protection locked="0"/>
    </xf>
    <xf numFmtId="10" fontId="2" fillId="2" borderId="5" xfId="0" applyNumberFormat="1" applyFont="1" applyFill="1" applyBorder="1" applyProtection="1">
      <protection locked="0"/>
    </xf>
    <xf numFmtId="3" fontId="2" fillId="2" borderId="5" xfId="0" applyNumberFormat="1" applyFont="1" applyFill="1" applyBorder="1" applyProtection="1">
      <protection locked="0"/>
    </xf>
    <xf numFmtId="166" fontId="2" fillId="2" borderId="5" xfId="0" applyNumberFormat="1" applyFont="1" applyFill="1" applyBorder="1" applyProtection="1">
      <protection locked="0"/>
    </xf>
    <xf numFmtId="0" fontId="2" fillId="3" borderId="0" xfId="0" applyFont="1" applyFill="1"/>
    <xf numFmtId="165" fontId="2" fillId="3" borderId="0" xfId="1" applyNumberFormat="1" applyFont="1" applyFill="1"/>
    <xf numFmtId="166" fontId="2" fillId="3" borderId="0" xfId="2" applyNumberFormat="1" applyFont="1" applyFill="1"/>
    <xf numFmtId="0" fontId="2" fillId="2" borderId="0" xfId="0" applyFont="1" applyFill="1"/>
    <xf numFmtId="165" fontId="2" fillId="2" borderId="0" xfId="1" applyNumberFormat="1" applyFont="1" applyFill="1"/>
    <xf numFmtId="166" fontId="2" fillId="2" borderId="0" xfId="2" applyNumberFormat="1" applyFont="1" applyFill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Forecasted Percent</a:t>
            </a:r>
            <a:r>
              <a:rPr lang="en-US" baseline="0"/>
              <a:t> of Nurses with a BSN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'Results - Tables'!$B$3</c:f>
              <c:strCache>
                <c:ptCount val="1"/>
                <c:pt idx="0">
                  <c:v>Baseline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'Results - Tables'!$A$4:$A$9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2023</c:v>
                </c:pt>
                <c:pt idx="5">
                  <c:v>2025</c:v>
                </c:pt>
              </c:numCache>
            </c:numRef>
          </c:cat>
          <c:val>
            <c:numRef>
              <c:f>'Results - Tables'!$B$4:$B$9</c:f>
              <c:numCache>
                <c:formatCode>0.0%</c:formatCode>
                <c:ptCount val="6"/>
                <c:pt idx="0">
                  <c:v>0.53154349388973265</c:v>
                </c:pt>
                <c:pt idx="1">
                  <c:v>0.55799908105556495</c:v>
                </c:pt>
                <c:pt idx="2">
                  <c:v>0.58042686736681748</c:v>
                </c:pt>
                <c:pt idx="3">
                  <c:v>0.60004241379451362</c:v>
                </c:pt>
                <c:pt idx="4">
                  <c:v>0.61734345829306392</c:v>
                </c:pt>
                <c:pt idx="5">
                  <c:v>0.63624886438426409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'Results - Tables'!$C$3</c:f>
              <c:strCache>
                <c:ptCount val="1"/>
                <c:pt idx="0">
                  <c:v>Custom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'Results - Tables'!$A$4:$A$9</c:f>
              <c:numCache>
                <c:formatCode>General</c:formatCode>
                <c:ptCount val="6"/>
                <c:pt idx="0">
                  <c:v>2015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  <c:pt idx="4">
                  <c:v>2023</c:v>
                </c:pt>
                <c:pt idx="5">
                  <c:v>2025</c:v>
                </c:pt>
              </c:numCache>
            </c:numRef>
          </c:cat>
          <c:val>
            <c:numRef>
              <c:f>'Results - Tables'!$C$4:$C$9</c:f>
              <c:numCache>
                <c:formatCode>0.0%</c:formatCode>
                <c:ptCount val="6"/>
                <c:pt idx="0">
                  <c:v>0.53154349388973265</c:v>
                </c:pt>
                <c:pt idx="1">
                  <c:v>0.55799908105556495</c:v>
                </c:pt>
                <c:pt idx="2">
                  <c:v>0.58042686736681748</c:v>
                </c:pt>
                <c:pt idx="3">
                  <c:v>0.60004241379451362</c:v>
                </c:pt>
                <c:pt idx="4">
                  <c:v>0.61734345829306392</c:v>
                </c:pt>
                <c:pt idx="5">
                  <c:v>0.63624886438426409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81856"/>
        <c:axId val="90283392"/>
      </c:lineChart>
      <c:catAx>
        <c:axId val="902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283392"/>
        <c:crosses val="autoZero"/>
        <c:auto val="1"/>
        <c:lblAlgn val="ctr"/>
        <c:lblOffset val="100"/>
        <c:noMultiLvlLbl val="0"/>
      </c:catAx>
      <c:valAx>
        <c:axId val="90283392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028185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9525</xdr:rowOff>
    </xdr:from>
    <xdr:to>
      <xdr:col>11</xdr:col>
      <xdr:colOff>352425</xdr:colOff>
      <xdr:row>18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28" workbookViewId="0">
      <selection activeCell="B34" sqref="B34"/>
    </sheetView>
  </sheetViews>
  <sheetFormatPr defaultColWidth="9.109375" defaultRowHeight="19.5" customHeight="1" x14ac:dyDescent="0.25"/>
  <cols>
    <col min="1" max="1" width="23.44140625" style="1" customWidth="1"/>
    <col min="2" max="2" width="17.33203125" style="1" customWidth="1"/>
    <col min="3" max="3" width="18.44140625" style="1" customWidth="1"/>
    <col min="4" max="16384" width="9.109375" style="1"/>
  </cols>
  <sheetData>
    <row r="1" spans="1:7" ht="19.5" customHeight="1" x14ac:dyDescent="0.2">
      <c r="A1" s="9" t="s">
        <v>43</v>
      </c>
      <c r="C1" s="30" t="s">
        <v>21</v>
      </c>
      <c r="D1" s="30"/>
      <c r="E1" s="30"/>
      <c r="F1" s="30"/>
      <c r="G1" s="30"/>
    </row>
    <row r="2" spans="1:7" ht="19.5" customHeight="1" x14ac:dyDescent="0.25">
      <c r="A2" s="9" t="s">
        <v>44</v>
      </c>
      <c r="C2" s="30" t="s">
        <v>22</v>
      </c>
      <c r="D2" s="30"/>
      <c r="E2" s="30"/>
      <c r="F2" s="30"/>
      <c r="G2" s="30"/>
    </row>
    <row r="3" spans="1:7" ht="19.5" customHeight="1" x14ac:dyDescent="0.25">
      <c r="A3" s="10">
        <v>42708</v>
      </c>
      <c r="C3" s="30" t="s">
        <v>42</v>
      </c>
      <c r="D3" s="30"/>
      <c r="E3" s="30"/>
      <c r="F3" s="30"/>
      <c r="G3" s="30"/>
    </row>
    <row r="4" spans="1:7" ht="19.5" customHeight="1" x14ac:dyDescent="0.25">
      <c r="C4" s="30"/>
      <c r="D4" s="30"/>
      <c r="E4" s="30"/>
      <c r="F4" s="30"/>
      <c r="G4" s="30"/>
    </row>
    <row r="6" spans="1:7" ht="19.5" customHeight="1" x14ac:dyDescent="0.2">
      <c r="A6" s="1" t="s">
        <v>0</v>
      </c>
    </row>
    <row r="7" spans="1:7" ht="19.5" customHeight="1" thickBot="1" x14ac:dyDescent="0.25"/>
    <row r="8" spans="1:7" ht="19.5" customHeight="1" x14ac:dyDescent="0.2">
      <c r="A8" s="2" t="s">
        <v>1</v>
      </c>
      <c r="B8" s="3"/>
      <c r="C8" s="16"/>
    </row>
    <row r="9" spans="1:7" ht="19.5" customHeight="1" x14ac:dyDescent="0.2">
      <c r="A9" s="4"/>
      <c r="B9" s="8" t="s">
        <v>2</v>
      </c>
      <c r="C9" s="17" t="s">
        <v>3</v>
      </c>
    </row>
    <row r="10" spans="1:7" ht="19.5" customHeight="1" x14ac:dyDescent="0.2">
      <c r="A10" s="4" t="s">
        <v>17</v>
      </c>
      <c r="B10" s="12">
        <v>3235374</v>
      </c>
      <c r="C10" s="18">
        <v>3235374</v>
      </c>
    </row>
    <row r="11" spans="1:7" ht="19.5" customHeight="1" thickBot="1" x14ac:dyDescent="0.25">
      <c r="A11" s="6" t="s">
        <v>32</v>
      </c>
      <c r="B11" s="7"/>
      <c r="C11" s="19"/>
    </row>
    <row r="12" spans="1:7" ht="19.5" customHeight="1" thickBot="1" x14ac:dyDescent="0.25">
      <c r="C12" s="20"/>
    </row>
    <row r="13" spans="1:7" ht="19.5" customHeight="1" x14ac:dyDescent="0.2">
      <c r="A13" s="2" t="s">
        <v>8</v>
      </c>
      <c r="B13" s="3"/>
      <c r="C13" s="16"/>
    </row>
    <row r="14" spans="1:7" ht="19.5" customHeight="1" x14ac:dyDescent="0.2">
      <c r="A14" s="4"/>
      <c r="B14" s="8" t="s">
        <v>2</v>
      </c>
      <c r="C14" s="17" t="s">
        <v>3</v>
      </c>
    </row>
    <row r="15" spans="1:7" ht="19.5" customHeight="1" x14ac:dyDescent="0.2">
      <c r="A15" s="4" t="s">
        <v>41</v>
      </c>
      <c r="B15" s="13">
        <v>0.17979999999999999</v>
      </c>
      <c r="C15" s="21">
        <v>0.17979999999999999</v>
      </c>
    </row>
    <row r="16" spans="1:7" ht="19.5" customHeight="1" x14ac:dyDescent="0.2">
      <c r="A16" s="4" t="s">
        <v>4</v>
      </c>
      <c r="B16" s="13">
        <v>0.24</v>
      </c>
      <c r="C16" s="21">
        <v>0.24</v>
      </c>
    </row>
    <row r="17" spans="1:3" ht="19.5" customHeight="1" x14ac:dyDescent="0.2">
      <c r="A17" s="4" t="s">
        <v>5</v>
      </c>
      <c r="B17" s="13">
        <v>0.23780000000000001</v>
      </c>
      <c r="C17" s="21">
        <v>0.23780000000000001</v>
      </c>
    </row>
    <row r="18" spans="1:3" ht="19.5" customHeight="1" x14ac:dyDescent="0.2">
      <c r="A18" s="4" t="s">
        <v>6</v>
      </c>
      <c r="B18" s="13">
        <v>0.23669999999999999</v>
      </c>
      <c r="C18" s="21">
        <v>0.23669999999999999</v>
      </c>
    </row>
    <row r="19" spans="1:3" ht="19.5" customHeight="1" x14ac:dyDescent="0.2">
      <c r="A19" s="4" t="s">
        <v>7</v>
      </c>
      <c r="B19" s="13">
        <v>0.1057</v>
      </c>
      <c r="C19" s="21">
        <v>0.1057</v>
      </c>
    </row>
    <row r="20" spans="1:3" ht="19.5" customHeight="1" thickBot="1" x14ac:dyDescent="0.25">
      <c r="A20" s="6" t="s">
        <v>32</v>
      </c>
      <c r="B20" s="7"/>
      <c r="C20" s="19"/>
    </row>
    <row r="21" spans="1:3" ht="19.5" customHeight="1" thickBot="1" x14ac:dyDescent="0.25">
      <c r="C21" s="20"/>
    </row>
    <row r="22" spans="1:3" ht="19.5" customHeight="1" x14ac:dyDescent="0.2">
      <c r="A22" s="2" t="s">
        <v>9</v>
      </c>
      <c r="B22" s="3"/>
      <c r="C22" s="16"/>
    </row>
    <row r="23" spans="1:3" ht="19.5" customHeight="1" x14ac:dyDescent="0.2">
      <c r="A23" s="4"/>
      <c r="B23" s="8" t="s">
        <v>2</v>
      </c>
      <c r="C23" s="17" t="s">
        <v>3</v>
      </c>
    </row>
    <row r="24" spans="1:3" ht="19.5" customHeight="1" x14ac:dyDescent="0.2">
      <c r="A24" s="4" t="s">
        <v>18</v>
      </c>
      <c r="B24" s="12">
        <v>1719742</v>
      </c>
      <c r="C24" s="18">
        <v>1719742</v>
      </c>
    </row>
    <row r="25" spans="1:3" ht="19.5" customHeight="1" thickBot="1" x14ac:dyDescent="0.25">
      <c r="A25" s="6" t="s">
        <v>32</v>
      </c>
      <c r="B25" s="7"/>
      <c r="C25" s="19"/>
    </row>
    <row r="26" spans="1:3" ht="19.5" customHeight="1" thickBot="1" x14ac:dyDescent="0.25">
      <c r="C26" s="20"/>
    </row>
    <row r="27" spans="1:3" ht="19.5" customHeight="1" x14ac:dyDescent="0.2">
      <c r="A27" s="2" t="s">
        <v>10</v>
      </c>
      <c r="B27" s="3"/>
      <c r="C27" s="16"/>
    </row>
    <row r="28" spans="1:3" ht="19.5" customHeight="1" x14ac:dyDescent="0.2">
      <c r="A28" s="4"/>
      <c r="B28" s="8" t="s">
        <v>2</v>
      </c>
      <c r="C28" s="17" t="s">
        <v>3</v>
      </c>
    </row>
    <row r="29" spans="1:3" ht="19.5" customHeight="1" x14ac:dyDescent="0.2">
      <c r="A29" s="4" t="s">
        <v>41</v>
      </c>
      <c r="B29" s="13">
        <v>0.2016</v>
      </c>
      <c r="C29" s="21">
        <v>0.2016</v>
      </c>
    </row>
    <row r="30" spans="1:3" ht="19.5" customHeight="1" x14ac:dyDescent="0.2">
      <c r="A30" s="4" t="s">
        <v>4</v>
      </c>
      <c r="B30" s="13">
        <v>0.2442</v>
      </c>
      <c r="C30" s="21">
        <v>0.2442</v>
      </c>
    </row>
    <row r="31" spans="1:3" ht="19.5" customHeight="1" x14ac:dyDescent="0.2">
      <c r="A31" s="4" t="s">
        <v>5</v>
      </c>
      <c r="B31" s="13">
        <v>0.2369</v>
      </c>
      <c r="C31" s="21">
        <v>0.2369</v>
      </c>
    </row>
    <row r="32" spans="1:3" ht="19.5" customHeight="1" x14ac:dyDescent="0.25">
      <c r="A32" s="4" t="s">
        <v>6</v>
      </c>
      <c r="B32" s="13">
        <v>0.22209999999999999</v>
      </c>
      <c r="C32" s="21">
        <v>0.22209999999999999</v>
      </c>
    </row>
    <row r="33" spans="1:3" ht="19.5" customHeight="1" x14ac:dyDescent="0.25">
      <c r="A33" s="4" t="s">
        <v>7</v>
      </c>
      <c r="B33" s="13">
        <v>9.5200000000000007E-2</v>
      </c>
      <c r="C33" s="21">
        <v>9.5200000000000007E-2</v>
      </c>
    </row>
    <row r="34" spans="1:3" ht="19.5" customHeight="1" thickBot="1" x14ac:dyDescent="0.3">
      <c r="A34" s="6" t="s">
        <v>32</v>
      </c>
      <c r="B34" s="7"/>
      <c r="C34" s="19"/>
    </row>
    <row r="35" spans="1:3" ht="19.5" customHeight="1" thickBot="1" x14ac:dyDescent="0.3">
      <c r="C35" s="20"/>
    </row>
    <row r="36" spans="1:3" ht="19.5" customHeight="1" x14ac:dyDescent="0.25">
      <c r="A36" s="2" t="s">
        <v>11</v>
      </c>
      <c r="B36" s="3"/>
      <c r="C36" s="16"/>
    </row>
    <row r="37" spans="1:3" ht="19.5" customHeight="1" x14ac:dyDescent="0.25">
      <c r="A37" s="4"/>
      <c r="B37" s="8" t="s">
        <v>2</v>
      </c>
      <c r="C37" s="17" t="s">
        <v>3</v>
      </c>
    </row>
    <row r="38" spans="1:3" ht="19.5" customHeight="1" x14ac:dyDescent="0.25">
      <c r="A38" s="4" t="s">
        <v>12</v>
      </c>
      <c r="B38" s="14">
        <f>2607+84379</f>
        <v>86986</v>
      </c>
      <c r="C38" s="22">
        <v>86986</v>
      </c>
    </row>
    <row r="39" spans="1:3" ht="19.5" customHeight="1" x14ac:dyDescent="0.25">
      <c r="A39" s="4" t="s">
        <v>13</v>
      </c>
      <c r="B39" s="14">
        <v>70863</v>
      </c>
      <c r="C39" s="22">
        <v>70863</v>
      </c>
    </row>
    <row r="40" spans="1:3" ht="19.5" customHeight="1" thickBot="1" x14ac:dyDescent="0.3">
      <c r="A40" s="6" t="s">
        <v>33</v>
      </c>
      <c r="B40" s="7"/>
      <c r="C40" s="19"/>
    </row>
    <row r="41" spans="1:3" ht="19.5" customHeight="1" thickBot="1" x14ac:dyDescent="0.3">
      <c r="C41" s="20"/>
    </row>
    <row r="42" spans="1:3" ht="19.5" customHeight="1" x14ac:dyDescent="0.25">
      <c r="A42" s="2" t="s">
        <v>14</v>
      </c>
      <c r="B42" s="3"/>
      <c r="C42" s="16"/>
    </row>
    <row r="43" spans="1:3" ht="19.5" customHeight="1" x14ac:dyDescent="0.25">
      <c r="A43" s="4"/>
      <c r="B43" s="8" t="s">
        <v>2</v>
      </c>
      <c r="C43" s="17" t="s">
        <v>3</v>
      </c>
    </row>
    <row r="44" spans="1:3" ht="19.5" customHeight="1" x14ac:dyDescent="0.25">
      <c r="A44" s="4" t="s">
        <v>41</v>
      </c>
      <c r="B44" s="15">
        <f>0.016+0.192+0.328</f>
        <v>0.53600000000000003</v>
      </c>
      <c r="C44" s="23">
        <v>0.53600000000000003</v>
      </c>
    </row>
    <row r="45" spans="1:3" ht="19.5" customHeight="1" x14ac:dyDescent="0.25">
      <c r="A45" s="4" t="s">
        <v>4</v>
      </c>
      <c r="B45" s="15">
        <v>0.308</v>
      </c>
      <c r="C45" s="23">
        <v>0.308</v>
      </c>
    </row>
    <row r="46" spans="1:3" ht="19.5" customHeight="1" x14ac:dyDescent="0.25">
      <c r="A46" s="4" t="s">
        <v>5</v>
      </c>
      <c r="B46" s="15">
        <v>0.13100000000000001</v>
      </c>
      <c r="C46" s="23">
        <v>0.13100000000000001</v>
      </c>
    </row>
    <row r="47" spans="1:3" ht="19.5" customHeight="1" x14ac:dyDescent="0.25">
      <c r="A47" s="4" t="s">
        <v>6</v>
      </c>
      <c r="B47" s="15">
        <v>2.5000000000000001E-2</v>
      </c>
      <c r="C47" s="23">
        <v>2.5000000000000001E-2</v>
      </c>
    </row>
    <row r="48" spans="1:3" ht="19.5" customHeight="1" x14ac:dyDescent="0.25">
      <c r="A48" s="4" t="s">
        <v>7</v>
      </c>
      <c r="B48" s="15">
        <v>1E-3</v>
      </c>
      <c r="C48" s="23">
        <v>1E-3</v>
      </c>
    </row>
    <row r="49" spans="1:3" ht="19.5" customHeight="1" thickBot="1" x14ac:dyDescent="0.3">
      <c r="A49" s="6" t="s">
        <v>31</v>
      </c>
      <c r="B49" s="7"/>
      <c r="C49" s="19"/>
    </row>
    <row r="50" spans="1:3" ht="19.5" customHeight="1" thickBot="1" x14ac:dyDescent="0.3">
      <c r="C50" s="20"/>
    </row>
    <row r="51" spans="1:3" ht="19.5" customHeight="1" x14ac:dyDescent="0.25">
      <c r="A51" s="2" t="s">
        <v>15</v>
      </c>
      <c r="B51" s="3"/>
      <c r="C51" s="16"/>
    </row>
    <row r="52" spans="1:3" ht="19.5" customHeight="1" x14ac:dyDescent="0.25">
      <c r="A52" s="4"/>
      <c r="B52" s="8" t="s">
        <v>2</v>
      </c>
      <c r="C52" s="17" t="s">
        <v>3</v>
      </c>
    </row>
    <row r="53" spans="1:3" ht="19.5" customHeight="1" x14ac:dyDescent="0.25">
      <c r="A53" s="4" t="s">
        <v>41</v>
      </c>
      <c r="B53" s="15">
        <f>0.019+0.462+0.272</f>
        <v>0.75300000000000011</v>
      </c>
      <c r="C53" s="15">
        <f>0.019+0.462+0.272</f>
        <v>0.75300000000000011</v>
      </c>
    </row>
    <row r="54" spans="1:3" ht="19.5" customHeight="1" x14ac:dyDescent="0.25">
      <c r="A54" s="4" t="s">
        <v>4</v>
      </c>
      <c r="B54" s="15">
        <v>0.17799999999999999</v>
      </c>
      <c r="C54" s="15">
        <v>0.17799999999999999</v>
      </c>
    </row>
    <row r="55" spans="1:3" ht="19.5" customHeight="1" x14ac:dyDescent="0.25">
      <c r="A55" s="4" t="s">
        <v>5</v>
      </c>
      <c r="B55" s="15">
        <v>5.0999999999999997E-2</v>
      </c>
      <c r="C55" s="15">
        <v>5.0999999999999997E-2</v>
      </c>
    </row>
    <row r="56" spans="1:3" ht="19.5" customHeight="1" x14ac:dyDescent="0.25">
      <c r="A56" s="4" t="s">
        <v>6</v>
      </c>
      <c r="B56" s="15">
        <v>1.4999999999999999E-2</v>
      </c>
      <c r="C56" s="15">
        <v>1.4999999999999999E-2</v>
      </c>
    </row>
    <row r="57" spans="1:3" ht="19.5" customHeight="1" x14ac:dyDescent="0.25">
      <c r="A57" s="4" t="s">
        <v>7</v>
      </c>
      <c r="B57" s="15">
        <v>1E-3</v>
      </c>
      <c r="C57" s="15">
        <v>1E-3</v>
      </c>
    </row>
    <row r="58" spans="1:3" ht="19.5" customHeight="1" thickBot="1" x14ac:dyDescent="0.3">
      <c r="A58" s="6" t="s">
        <v>31</v>
      </c>
      <c r="B58" s="7"/>
      <c r="C58" s="19"/>
    </row>
    <row r="59" spans="1:3" ht="19.5" customHeight="1" thickBot="1" x14ac:dyDescent="0.3">
      <c r="C59" s="20"/>
    </row>
    <row r="60" spans="1:3" ht="19.5" customHeight="1" x14ac:dyDescent="0.25">
      <c r="A60" s="2" t="s">
        <v>16</v>
      </c>
      <c r="B60" s="3"/>
      <c r="C60" s="16"/>
    </row>
    <row r="61" spans="1:3" ht="19.5" customHeight="1" x14ac:dyDescent="0.25">
      <c r="A61" s="4"/>
      <c r="B61" s="8" t="s">
        <v>2</v>
      </c>
      <c r="C61" s="17" t="s">
        <v>3</v>
      </c>
    </row>
    <row r="62" spans="1:3" ht="19.5" customHeight="1" x14ac:dyDescent="0.25">
      <c r="A62" s="4" t="s">
        <v>19</v>
      </c>
      <c r="B62" s="14">
        <v>56059</v>
      </c>
      <c r="C62" s="22">
        <v>56059</v>
      </c>
    </row>
    <row r="63" spans="1:3" ht="19.5" customHeight="1" thickBot="1" x14ac:dyDescent="0.3">
      <c r="A63" s="6" t="s">
        <v>34</v>
      </c>
      <c r="B63" s="7"/>
      <c r="C63" s="19"/>
    </row>
    <row r="64" spans="1:3" ht="19.5" customHeight="1" thickBot="1" x14ac:dyDescent="0.3">
      <c r="C64" s="20"/>
    </row>
    <row r="65" spans="1:3" ht="19.5" customHeight="1" x14ac:dyDescent="0.25">
      <c r="A65" s="2" t="s">
        <v>20</v>
      </c>
      <c r="B65" s="3"/>
      <c r="C65" s="16"/>
    </row>
    <row r="66" spans="1:3" ht="19.5" customHeight="1" x14ac:dyDescent="0.25">
      <c r="A66" s="4"/>
      <c r="B66" s="8" t="s">
        <v>2</v>
      </c>
      <c r="C66" s="17" t="s">
        <v>3</v>
      </c>
    </row>
    <row r="67" spans="1:3" ht="19.5" customHeight="1" x14ac:dyDescent="0.25">
      <c r="A67" s="4" t="s">
        <v>41</v>
      </c>
      <c r="B67" s="15">
        <v>0.19170522261002809</v>
      </c>
      <c r="C67" s="23">
        <v>0.19170522261002809</v>
      </c>
    </row>
    <row r="68" spans="1:3" ht="19.5" customHeight="1" x14ac:dyDescent="0.25">
      <c r="A68" s="4" t="s">
        <v>4</v>
      </c>
      <c r="B68" s="15">
        <v>0.36356747424874436</v>
      </c>
      <c r="C68" s="23">
        <v>0.36356747424874436</v>
      </c>
    </row>
    <row r="69" spans="1:3" ht="19.5" customHeight="1" x14ac:dyDescent="0.25">
      <c r="A69" s="4" t="s">
        <v>5</v>
      </c>
      <c r="B69" s="15">
        <v>0.26668580573763512</v>
      </c>
      <c r="C69" s="23">
        <v>0.26668580573763512</v>
      </c>
    </row>
    <row r="70" spans="1:3" ht="19.5" customHeight="1" x14ac:dyDescent="0.25">
      <c r="A70" s="4" t="s">
        <v>6</v>
      </c>
      <c r="B70" s="15">
        <v>0.17804070268153571</v>
      </c>
      <c r="C70" s="23">
        <v>0.17804070268153571</v>
      </c>
    </row>
    <row r="71" spans="1:3" ht="19.5" customHeight="1" x14ac:dyDescent="0.25">
      <c r="A71" s="4" t="s">
        <v>7</v>
      </c>
      <c r="B71" s="15">
        <v>0</v>
      </c>
      <c r="C71" s="23">
        <v>0</v>
      </c>
    </row>
    <row r="72" spans="1:3" ht="19.2" customHeight="1" thickBot="1" x14ac:dyDescent="0.3">
      <c r="A72" s="6" t="s">
        <v>30</v>
      </c>
      <c r="B72" s="7"/>
      <c r="C72" s="19"/>
    </row>
  </sheetData>
  <mergeCells count="4">
    <mergeCell ref="C1:G1"/>
    <mergeCell ref="C2:G2"/>
    <mergeCell ref="C3:G3"/>
    <mergeCell ref="C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0" sqref="A10"/>
    </sheetView>
  </sheetViews>
  <sheetFormatPr defaultColWidth="9.109375" defaultRowHeight="18" customHeight="1" x14ac:dyDescent="0.25"/>
  <cols>
    <col min="1" max="5" width="15.44140625" style="1" customWidth="1"/>
    <col min="6" max="16384" width="9.109375" style="1"/>
  </cols>
  <sheetData>
    <row r="1" spans="1:3" ht="18" customHeight="1" x14ac:dyDescent="0.2">
      <c r="A1" s="1" t="s">
        <v>23</v>
      </c>
    </row>
    <row r="3" spans="1:3" ht="18" customHeight="1" x14ac:dyDescent="0.2">
      <c r="B3" s="24" t="s">
        <v>28</v>
      </c>
      <c r="C3" s="27" t="s">
        <v>29</v>
      </c>
    </row>
    <row r="4" spans="1:3" ht="18" customHeight="1" x14ac:dyDescent="0.2">
      <c r="A4" s="1">
        <v>2015</v>
      </c>
      <c r="B4" s="26">
        <f>'Calculation sheet'!D9</f>
        <v>0.53154349388973265</v>
      </c>
      <c r="C4" s="29">
        <f>'Calculation sheet'!G9</f>
        <v>0.53154349388973265</v>
      </c>
    </row>
    <row r="5" spans="1:3" ht="18" customHeight="1" x14ac:dyDescent="0.2">
      <c r="A5" s="1">
        <v>2017</v>
      </c>
      <c r="B5" s="26">
        <f>'Calculation sheet'!D19</f>
        <v>0.55799908105556495</v>
      </c>
      <c r="C5" s="29">
        <f>'Calculation sheet'!G19</f>
        <v>0.55799908105556495</v>
      </c>
    </row>
    <row r="6" spans="1:3" ht="18" customHeight="1" x14ac:dyDescent="0.2">
      <c r="A6" s="1">
        <v>2019</v>
      </c>
      <c r="B6" s="26">
        <f>'Calculation sheet'!D28</f>
        <v>0.58042686736681748</v>
      </c>
      <c r="C6" s="29">
        <f>'Calculation sheet'!G28</f>
        <v>0.58042686736681748</v>
      </c>
    </row>
    <row r="7" spans="1:3" ht="18" customHeight="1" x14ac:dyDescent="0.2">
      <c r="A7" s="1">
        <v>2021</v>
      </c>
      <c r="B7" s="26">
        <f>'Calculation sheet'!D37</f>
        <v>0.60004241379451362</v>
      </c>
      <c r="C7" s="29">
        <f>'Calculation sheet'!G37</f>
        <v>0.60004241379451362</v>
      </c>
    </row>
    <row r="8" spans="1:3" ht="18" customHeight="1" x14ac:dyDescent="0.2">
      <c r="A8" s="1">
        <v>2023</v>
      </c>
      <c r="B8" s="26">
        <f>'Calculation sheet'!D46</f>
        <v>0.61734345829306392</v>
      </c>
      <c r="C8" s="29">
        <f>'Calculation sheet'!G46</f>
        <v>0.61734345829306392</v>
      </c>
    </row>
    <row r="9" spans="1:3" ht="18" customHeight="1" x14ac:dyDescent="0.2">
      <c r="A9" s="1">
        <v>2025</v>
      </c>
      <c r="B9" s="26">
        <f>'Calculation sheet'!D55</f>
        <v>0.63624886438426409</v>
      </c>
      <c r="C9" s="29">
        <f>'Calculation sheet'!G55</f>
        <v>0.63624886438426409</v>
      </c>
    </row>
  </sheetData>
  <sheetProtection password="C925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42" workbookViewId="0">
      <selection activeCell="A59" sqref="A59"/>
    </sheetView>
  </sheetViews>
  <sheetFormatPr defaultColWidth="9.109375" defaultRowHeight="18" customHeight="1" x14ac:dyDescent="0.25"/>
  <cols>
    <col min="1" max="1" width="22.5546875" style="1" customWidth="1"/>
    <col min="2" max="6" width="13.6640625" style="1" customWidth="1"/>
    <col min="7" max="7" width="12.88671875" style="1" customWidth="1"/>
    <col min="8" max="16384" width="9.109375" style="1"/>
  </cols>
  <sheetData>
    <row r="2" spans="1:7" ht="18" customHeight="1" x14ac:dyDescent="0.2">
      <c r="A2" s="9" t="s">
        <v>35</v>
      </c>
    </row>
    <row r="3" spans="1:7" ht="18" customHeight="1" x14ac:dyDescent="0.2">
      <c r="B3" s="24" t="s">
        <v>24</v>
      </c>
      <c r="C3" s="24" t="s">
        <v>25</v>
      </c>
      <c r="D3" s="24" t="s">
        <v>26</v>
      </c>
      <c r="E3" s="27" t="s">
        <v>24</v>
      </c>
      <c r="F3" s="27" t="s">
        <v>25</v>
      </c>
      <c r="G3" s="27" t="s">
        <v>26</v>
      </c>
    </row>
    <row r="4" spans="1:7" ht="18" customHeight="1" x14ac:dyDescent="0.2">
      <c r="A4" s="4" t="s">
        <v>41</v>
      </c>
      <c r="B4" s="25">
        <f>'Data Entry'!B$10*'Data Entry'!B15</f>
        <v>581720.2452</v>
      </c>
      <c r="C4" s="25">
        <f>'Data Entry'!B$24*'Data Entry'!B29</f>
        <v>346699.98719999997</v>
      </c>
      <c r="D4" s="26">
        <f>C4/B4</f>
        <v>0.59599092529571807</v>
      </c>
      <c r="E4" s="28">
        <f>'Data Entry'!C$10*'Data Entry'!C15</f>
        <v>581720.2452</v>
      </c>
      <c r="F4" s="28">
        <f>'Data Entry'!C$24*'Data Entry'!C29</f>
        <v>346699.98719999997</v>
      </c>
      <c r="G4" s="29">
        <f>F4/E4</f>
        <v>0.59599092529571807</v>
      </c>
    </row>
    <row r="5" spans="1:7" ht="18" customHeight="1" x14ac:dyDescent="0.2">
      <c r="A5" s="4" t="s">
        <v>4</v>
      </c>
      <c r="B5" s="25">
        <f>'Data Entry'!B$10*'Data Entry'!B16</f>
        <v>776489.76</v>
      </c>
      <c r="C5" s="25">
        <f>'Data Entry'!B$24*'Data Entry'!B30</f>
        <v>419960.9964</v>
      </c>
      <c r="D5" s="26">
        <f t="shared" ref="D5:D9" si="0">C5/B5</f>
        <v>0.54084550503280304</v>
      </c>
      <c r="E5" s="28">
        <f>'Data Entry'!C$10*'Data Entry'!C16</f>
        <v>776489.76</v>
      </c>
      <c r="F5" s="28">
        <f>'Data Entry'!C$24*'Data Entry'!C30</f>
        <v>419960.9964</v>
      </c>
      <c r="G5" s="29">
        <f t="shared" ref="G5:G9" si="1">F5/E5</f>
        <v>0.54084550503280304</v>
      </c>
    </row>
    <row r="6" spans="1:7" ht="18" customHeight="1" x14ac:dyDescent="0.2">
      <c r="A6" s="4" t="s">
        <v>5</v>
      </c>
      <c r="B6" s="25">
        <f>'Data Entry'!B$10*'Data Entry'!B17</f>
        <v>769371.93720000004</v>
      </c>
      <c r="C6" s="25">
        <f>'Data Entry'!B$24*'Data Entry'!B31</f>
        <v>407406.8798</v>
      </c>
      <c r="D6" s="26">
        <f t="shared" si="0"/>
        <v>0.5295317649389305</v>
      </c>
      <c r="E6" s="28">
        <f>'Data Entry'!C$10*'Data Entry'!C17</f>
        <v>769371.93720000004</v>
      </c>
      <c r="F6" s="28">
        <f>'Data Entry'!C$24*'Data Entry'!C31</f>
        <v>407406.8798</v>
      </c>
      <c r="G6" s="29">
        <f t="shared" si="1"/>
        <v>0.5295317649389305</v>
      </c>
    </row>
    <row r="7" spans="1:7" ht="18" customHeight="1" x14ac:dyDescent="0.2">
      <c r="A7" s="4" t="s">
        <v>6</v>
      </c>
      <c r="B7" s="25">
        <f>'Data Entry'!B$10*'Data Entry'!B18</f>
        <v>765813.02579999994</v>
      </c>
      <c r="C7" s="25">
        <f>'Data Entry'!B$24*'Data Entry'!B32</f>
        <v>381954.69819999998</v>
      </c>
      <c r="D7" s="26">
        <f t="shared" si="0"/>
        <v>0.49875711868571876</v>
      </c>
      <c r="E7" s="28">
        <f>'Data Entry'!C$10*'Data Entry'!C18</f>
        <v>765813.02579999994</v>
      </c>
      <c r="F7" s="28">
        <f>'Data Entry'!C$24*'Data Entry'!C32</f>
        <v>381954.69819999998</v>
      </c>
      <c r="G7" s="29">
        <f t="shared" si="1"/>
        <v>0.49875711868571876</v>
      </c>
    </row>
    <row r="8" spans="1:7" ht="18" customHeight="1" x14ac:dyDescent="0.2">
      <c r="A8" s="4" t="s">
        <v>7</v>
      </c>
      <c r="B8" s="25">
        <f>'Data Entry'!B$10*'Data Entry'!B19</f>
        <v>341979.0318</v>
      </c>
      <c r="C8" s="25">
        <f>'Data Entry'!B$24*'Data Entry'!B33</f>
        <v>163719.43840000001</v>
      </c>
      <c r="D8" s="26">
        <f t="shared" si="0"/>
        <v>0.47874116005962686</v>
      </c>
      <c r="E8" s="28">
        <f>'Data Entry'!C$10*'Data Entry'!C19</f>
        <v>341979.0318</v>
      </c>
      <c r="F8" s="28">
        <f>'Data Entry'!C$24*'Data Entry'!C33</f>
        <v>163719.43840000001</v>
      </c>
      <c r="G8" s="29">
        <f t="shared" si="1"/>
        <v>0.47874116005962686</v>
      </c>
    </row>
    <row r="9" spans="1:7" ht="18" customHeight="1" x14ac:dyDescent="0.2">
      <c r="A9" s="5" t="s">
        <v>27</v>
      </c>
      <c r="B9" s="25">
        <f>SUM(B4:B8)</f>
        <v>3235374</v>
      </c>
      <c r="C9" s="25">
        <f>SUM(C4:C8)</f>
        <v>1719742</v>
      </c>
      <c r="D9" s="26">
        <f t="shared" si="0"/>
        <v>0.53154349388973265</v>
      </c>
      <c r="E9" s="28">
        <f>SUM(E4:E8)</f>
        <v>3235374</v>
      </c>
      <c r="F9" s="28">
        <f>SUM(F4:F8)</f>
        <v>1719742</v>
      </c>
      <c r="G9" s="29">
        <f t="shared" si="1"/>
        <v>0.53154349388973265</v>
      </c>
    </row>
    <row r="10" spans="1:7" ht="18" customHeight="1" x14ac:dyDescent="0.2">
      <c r="D10" s="11"/>
    </row>
    <row r="12" spans="1:7" ht="18" customHeight="1" x14ac:dyDescent="0.2">
      <c r="A12" s="9" t="s">
        <v>36</v>
      </c>
    </row>
    <row r="13" spans="1:7" ht="18" customHeight="1" x14ac:dyDescent="0.2">
      <c r="B13" s="24" t="s">
        <v>24</v>
      </c>
      <c r="C13" s="24" t="s">
        <v>25</v>
      </c>
      <c r="D13" s="24" t="s">
        <v>26</v>
      </c>
      <c r="E13" s="27" t="s">
        <v>24</v>
      </c>
      <c r="F13" s="27" t="s">
        <v>25</v>
      </c>
      <c r="G13" s="27" t="s">
        <v>26</v>
      </c>
    </row>
    <row r="14" spans="1:7" ht="18" customHeight="1" x14ac:dyDescent="0.2">
      <c r="A14" s="4" t="s">
        <v>41</v>
      </c>
      <c r="B14" s="25">
        <f>0.8*B4+2*('Data Entry'!B$38*'Data Entry'!B44+'Data Entry'!B$39*'Data Entry'!B53)</f>
        <v>665344.86616000009</v>
      </c>
      <c r="C14" s="25">
        <f>0.8*C4+2*('Data Entry'!B$39*'Data Entry'!B53+'Data Entry'!B$62*'Data Entry'!B67)</f>
        <v>405573.27390859113</v>
      </c>
      <c r="D14" s="26">
        <f>C14/B14</f>
        <v>0.60956850279665364</v>
      </c>
      <c r="E14" s="28">
        <f>0.8*E4+2*('Data Entry'!C$38*'Data Entry'!C44+'Data Entry'!C$39*'Data Entry'!C53)</f>
        <v>665344.86616000009</v>
      </c>
      <c r="F14" s="28">
        <f>0.8*F4+2*('Data Entry'!C$39*'Data Entry'!C53+'Data Entry'!C$62*'Data Entry'!C67)</f>
        <v>405573.27390859113</v>
      </c>
      <c r="G14" s="29">
        <f>F14/E14</f>
        <v>0.60956850279665364</v>
      </c>
    </row>
    <row r="15" spans="1:7" ht="18" customHeight="1" x14ac:dyDescent="0.2">
      <c r="A15" s="4" t="s">
        <v>4</v>
      </c>
      <c r="B15" s="25">
        <f>0.2*B4+0.8*B5+2*('Data Entry'!B$38*'Data Entry'!B45+'Data Entry'!B$39*'Data Entry'!B54)</f>
        <v>816346.4610400002</v>
      </c>
      <c r="C15" s="25">
        <f>0.2*C4+0.8*C5+2*('Data Entry'!B$39*'Data Entry'!B54+'Data Entry'!B$62*'Data Entry'!B68)</f>
        <v>471298.48063782073</v>
      </c>
      <c r="D15" s="26">
        <f t="shared" ref="D15:D19" si="2">C15/B15</f>
        <v>0.57732654348424683</v>
      </c>
      <c r="E15" s="28">
        <f>0.2*E4+0.8*E5+2*('Data Entry'!C$38*'Data Entry'!C45+'Data Entry'!C$39*'Data Entry'!C54)</f>
        <v>816346.4610400002</v>
      </c>
      <c r="F15" s="28">
        <f>0.2*F4+0.8*F5+2*('Data Entry'!C$39*'Data Entry'!C54+'Data Entry'!C$62*'Data Entry'!C68)</f>
        <v>471298.48063782073</v>
      </c>
      <c r="G15" s="29">
        <f t="shared" ref="G15:G19" si="3">F15/E15</f>
        <v>0.57732654348424683</v>
      </c>
    </row>
    <row r="16" spans="1:7" ht="18" customHeight="1" x14ac:dyDescent="0.2">
      <c r="A16" s="4" t="s">
        <v>5</v>
      </c>
      <c r="B16" s="25">
        <f>0.2*B5+0.8*B6+2*('Data Entry'!B$38*'Data Entry'!B46+'Data Entry'!B$39*'Data Entry'!B55)</f>
        <v>800813.85976000014</v>
      </c>
      <c r="C16" s="25">
        <f>0.2*C5+0.8*C6+2*('Data Entry'!B$39*'Data Entry'!B55+'Data Entry'!B$62*'Data Entry'!B69)</f>
        <v>447046.00828769221</v>
      </c>
      <c r="D16" s="26">
        <f t="shared" si="2"/>
        <v>0.5582395994266004</v>
      </c>
      <c r="E16" s="28">
        <f>0.2*E5+0.8*E6+2*('Data Entry'!C$38*'Data Entry'!C46+'Data Entry'!C$39*'Data Entry'!C55)</f>
        <v>800813.85976000014</v>
      </c>
      <c r="F16" s="28">
        <f>0.2*F5+0.8*F6+2*('Data Entry'!C$39*'Data Entry'!C55+'Data Entry'!C$62*'Data Entry'!C69)</f>
        <v>447046.00828769221</v>
      </c>
      <c r="G16" s="29">
        <f t="shared" si="3"/>
        <v>0.5582395994266004</v>
      </c>
    </row>
    <row r="17" spans="1:7" ht="18" customHeight="1" x14ac:dyDescent="0.2">
      <c r="A17" s="4" t="s">
        <v>6</v>
      </c>
      <c r="B17" s="25">
        <f>0.2*B6+0.8*B7+2*('Data Entry'!B$38*'Data Entry'!B47+'Data Entry'!B$39*'Data Entry'!B56)</f>
        <v>772999.99808000005</v>
      </c>
      <c r="C17" s="25">
        <f>0.2*C6+0.8*C7+2*('Data Entry'!B$39*'Data Entry'!B56+'Data Entry'!B$62*'Data Entry'!B70)</f>
        <v>409132.59202324838</v>
      </c>
      <c r="D17" s="26">
        <f t="shared" si="2"/>
        <v>0.52927890432013436</v>
      </c>
      <c r="E17" s="28">
        <f>0.2*E6+0.8*E7+2*('Data Entry'!C$38*'Data Entry'!C47+'Data Entry'!C$39*'Data Entry'!C56)</f>
        <v>772999.99808000005</v>
      </c>
      <c r="F17" s="28">
        <f>0.2*F6+0.8*F7+2*('Data Entry'!C$39*'Data Entry'!C56+'Data Entry'!C$62*'Data Entry'!C70)</f>
        <v>409132.59202324838</v>
      </c>
      <c r="G17" s="29">
        <f t="shared" si="3"/>
        <v>0.52927890432013436</v>
      </c>
    </row>
    <row r="18" spans="1:7" ht="18" customHeight="1" x14ac:dyDescent="0.2">
      <c r="A18" s="4" t="s">
        <v>7</v>
      </c>
      <c r="B18" s="25">
        <f>0.2*B7+0.7*B8+2*('Data Entry'!B$38*'Data Entry'!B48+'Data Entry'!B$39*'Data Entry'!B57)</f>
        <v>392863.62541999994</v>
      </c>
      <c r="C18" s="25">
        <f>0.2*C7+0.7*C8+2*('Data Entry'!B$39*'Data Entry'!B57+'Data Entry'!B$62*'Data Entry'!B71)</f>
        <v>191136.27252</v>
      </c>
      <c r="D18" s="26">
        <f t="shared" si="2"/>
        <v>0.48652066557615598</v>
      </c>
      <c r="E18" s="28">
        <f>0.2*E7+0.7*E8+2*('Data Entry'!C$38*'Data Entry'!C48+'Data Entry'!C$39*'Data Entry'!C57)</f>
        <v>392863.62541999994</v>
      </c>
      <c r="F18" s="28">
        <f>0.2*F7+0.7*F8+2*('Data Entry'!C$39*'Data Entry'!C57+'Data Entry'!C$62*'Data Entry'!C71)</f>
        <v>191136.27252</v>
      </c>
      <c r="G18" s="29">
        <f t="shared" si="3"/>
        <v>0.48652066557615598</v>
      </c>
    </row>
    <row r="19" spans="1:7" ht="18" customHeight="1" x14ac:dyDescent="0.2">
      <c r="A19" s="5" t="s">
        <v>27</v>
      </c>
      <c r="B19" s="25">
        <f>SUM(B14:B18)</f>
        <v>3448368.8104600008</v>
      </c>
      <c r="C19" s="25">
        <f>SUM(C14:C18)</f>
        <v>1924186.6273773522</v>
      </c>
      <c r="D19" s="26">
        <f t="shared" si="2"/>
        <v>0.55799908105556495</v>
      </c>
      <c r="E19" s="28">
        <f>SUM(E14:E18)</f>
        <v>3448368.8104600008</v>
      </c>
      <c r="F19" s="28">
        <f>SUM(F14:F18)</f>
        <v>1924186.6273773522</v>
      </c>
      <c r="G19" s="29">
        <f t="shared" si="3"/>
        <v>0.55799908105556495</v>
      </c>
    </row>
    <row r="21" spans="1:7" ht="18" customHeight="1" x14ac:dyDescent="0.25">
      <c r="A21" s="9" t="s">
        <v>37</v>
      </c>
    </row>
    <row r="22" spans="1:7" ht="18" customHeight="1" x14ac:dyDescent="0.25">
      <c r="B22" s="24" t="s">
        <v>24</v>
      </c>
      <c r="C22" s="24" t="s">
        <v>25</v>
      </c>
      <c r="D22" s="24" t="s">
        <v>26</v>
      </c>
      <c r="E22" s="27" t="s">
        <v>24</v>
      </c>
      <c r="F22" s="27" t="s">
        <v>25</v>
      </c>
      <c r="G22" s="27" t="s">
        <v>26</v>
      </c>
    </row>
    <row r="23" spans="1:7" ht="18" customHeight="1" x14ac:dyDescent="0.25">
      <c r="A23" s="4" t="s">
        <v>41</v>
      </c>
      <c r="B23" s="25">
        <f>0.6*B$4+4*('Data Entry'!B$38*'Data Entry'!B44+'Data Entry'!B$39*'Data Entry'!B53)</f>
        <v>748969.48711999995</v>
      </c>
      <c r="C23" s="25">
        <f>0.6*C4+4*('Data Entry'!B$39*'Data Entry'!B53+'Data Entry'!B$62*'Data Entry'!B67)</f>
        <v>464446.56061718229</v>
      </c>
      <c r="D23" s="26">
        <f>C23/B23</f>
        <v>0.62011412828459944</v>
      </c>
      <c r="E23" s="28">
        <f>0.6*E4+4*('Data Entry'!C$38*'Data Entry'!C44+'Data Entry'!C$39*'Data Entry'!C53)</f>
        <v>748969.48711999995</v>
      </c>
      <c r="F23" s="28">
        <f>0.6*F4+4*('Data Entry'!C$39*'Data Entry'!C53+'Data Entry'!C$62*'Data Entry'!C67)</f>
        <v>464446.56061718229</v>
      </c>
      <c r="G23" s="29">
        <f>F23/E23</f>
        <v>0.62011412828459944</v>
      </c>
    </row>
    <row r="24" spans="1:7" ht="18" customHeight="1" x14ac:dyDescent="0.25">
      <c r="A24" s="4" t="s">
        <v>4</v>
      </c>
      <c r="B24" s="25">
        <f>0.4*B$4+0.6*B$5+4*('Data Entry'!B$38*'Data Entry'!B45+'Data Entry'!B$39*'Data Entry'!B54)</f>
        <v>856203.16208000004</v>
      </c>
      <c r="C24" s="25">
        <f>0.4*C4+0.6*C5+4*('Data Entry'!B$39*'Data Entry'!B54+'Data Entry'!B$62*'Data Entry'!B68)</f>
        <v>522635.9648756414</v>
      </c>
      <c r="D24" s="26">
        <f t="shared" ref="D24:D28" si="4">C24/B24</f>
        <v>0.61041115943321933</v>
      </c>
      <c r="E24" s="28">
        <f>0.4*E4+0.6*E5+4*('Data Entry'!C$38*'Data Entry'!C45+'Data Entry'!C$39*'Data Entry'!C54)</f>
        <v>856203.16208000004</v>
      </c>
      <c r="F24" s="28">
        <f>0.4*F4+0.6*F5+4*('Data Entry'!C$39*'Data Entry'!C54+'Data Entry'!C$62*'Data Entry'!C68)</f>
        <v>522635.9648756414</v>
      </c>
      <c r="G24" s="29">
        <f t="shared" ref="G24:G28" si="5">F24/E24</f>
        <v>0.61041115943321933</v>
      </c>
    </row>
    <row r="25" spans="1:7" ht="18" customHeight="1" x14ac:dyDescent="0.25">
      <c r="A25" s="4" t="s">
        <v>5</v>
      </c>
      <c r="B25" s="25">
        <f>0.4*B$5+0.6*B$6+4*('Data Entry'!B$38*'Data Entry'!B46+'Data Entry'!B$39*'Data Entry'!B55)</f>
        <v>832255.78232</v>
      </c>
      <c r="C25" s="25">
        <f>0.4*C5+0.6*C6+4*('Data Entry'!B$39*'Data Entry'!B55+'Data Entry'!B$62*'Data Entry'!B69)</f>
        <v>486685.13677538431</v>
      </c>
      <c r="D25" s="26">
        <f t="shared" si="4"/>
        <v>0.58477831829380456</v>
      </c>
      <c r="E25" s="28">
        <f>0.4*E5+0.6*E6+4*('Data Entry'!C$38*'Data Entry'!C46+'Data Entry'!C$39*'Data Entry'!C55)</f>
        <v>832255.78232</v>
      </c>
      <c r="F25" s="28">
        <f>0.4*F5+0.6*F6+4*('Data Entry'!C$39*'Data Entry'!C55+'Data Entry'!C$62*'Data Entry'!C69)</f>
        <v>486685.13677538431</v>
      </c>
      <c r="G25" s="29">
        <f t="shared" si="5"/>
        <v>0.58477831829380456</v>
      </c>
    </row>
    <row r="26" spans="1:7" ht="18" customHeight="1" x14ac:dyDescent="0.25">
      <c r="A26" s="4" t="s">
        <v>6</v>
      </c>
      <c r="B26" s="25">
        <f>0.4*B$6+0.6*B$7+4*('Data Entry'!B$38*'Data Entry'!B47+'Data Entry'!B$39*'Data Entry'!B56)</f>
        <v>780186.97036000004</v>
      </c>
      <c r="C26" s="25">
        <f>0.4*C6+0.6*C7+4*('Data Entry'!B$39*'Data Entry'!B56+'Data Entry'!B$62*'Data Entry'!B70)</f>
        <v>436310.48584649683</v>
      </c>
      <c r="D26" s="26">
        <f t="shared" si="4"/>
        <v>0.55923836518978387</v>
      </c>
      <c r="E26" s="28">
        <f>0.4*E6+0.6*E7+4*('Data Entry'!C$38*'Data Entry'!C47+'Data Entry'!C$39*'Data Entry'!C56)</f>
        <v>780186.97036000004</v>
      </c>
      <c r="F26" s="28">
        <f>0.4*F6+0.6*F7+4*('Data Entry'!C$39*'Data Entry'!C56+'Data Entry'!C$62*'Data Entry'!C70)</f>
        <v>436310.48584649683</v>
      </c>
      <c r="G26" s="29">
        <f t="shared" si="5"/>
        <v>0.55923836518978387</v>
      </c>
    </row>
    <row r="27" spans="1:7" ht="18" customHeight="1" x14ac:dyDescent="0.25">
      <c r="A27" s="4" t="s">
        <v>7</v>
      </c>
      <c r="B27" s="25">
        <f>0.4*B$7+0.5*B$8+4*('Data Entry'!B$38*'Data Entry'!B48+'Data Entry'!B$39*'Data Entry'!B57)</f>
        <v>477946.12222000002</v>
      </c>
      <c r="C27" s="25">
        <f>0.4*C7+0.5*C8+4*('Data Entry'!B$39*'Data Entry'!B57+'Data Entry'!B$62*'Data Entry'!B71)</f>
        <v>234925.05047999998</v>
      </c>
      <c r="D27" s="26">
        <f t="shared" si="4"/>
        <v>0.49153040386393859</v>
      </c>
      <c r="E27" s="28">
        <f>0.4*E7+0.5*E8+4*('Data Entry'!C$38*'Data Entry'!C48+'Data Entry'!C$39*'Data Entry'!C57)</f>
        <v>477946.12222000002</v>
      </c>
      <c r="F27" s="28">
        <f>0.4*F7+0.5*F8+4*('Data Entry'!C$39*'Data Entry'!C57+'Data Entry'!C$62*'Data Entry'!C71)</f>
        <v>234925.05047999998</v>
      </c>
      <c r="G27" s="29">
        <f t="shared" si="5"/>
        <v>0.49153040386393859</v>
      </c>
    </row>
    <row r="28" spans="1:7" ht="18" customHeight="1" x14ac:dyDescent="0.25">
      <c r="A28" s="5" t="s">
        <v>27</v>
      </c>
      <c r="B28" s="25">
        <f>SUM(B23:B27)</f>
        <v>3695561.5241</v>
      </c>
      <c r="C28" s="25">
        <f>SUM(C23:C27)</f>
        <v>2145003.1985947047</v>
      </c>
      <c r="D28" s="26">
        <f t="shared" si="4"/>
        <v>0.58042686736681748</v>
      </c>
      <c r="E28" s="28">
        <f>SUM(E23:E27)</f>
        <v>3695561.5241</v>
      </c>
      <c r="F28" s="28">
        <f>SUM(F23:F27)</f>
        <v>2145003.1985947047</v>
      </c>
      <c r="G28" s="29">
        <f t="shared" si="5"/>
        <v>0.58042686736681748</v>
      </c>
    </row>
    <row r="30" spans="1:7" ht="18" customHeight="1" x14ac:dyDescent="0.25">
      <c r="A30" s="9" t="s">
        <v>38</v>
      </c>
    </row>
    <row r="31" spans="1:7" ht="18" customHeight="1" x14ac:dyDescent="0.25">
      <c r="B31" s="24" t="s">
        <v>24</v>
      </c>
      <c r="C31" s="24" t="s">
        <v>25</v>
      </c>
      <c r="D31" s="24" t="s">
        <v>26</v>
      </c>
      <c r="E31" s="27" t="s">
        <v>24</v>
      </c>
      <c r="F31" s="27" t="s">
        <v>25</v>
      </c>
      <c r="G31" s="27" t="s">
        <v>26</v>
      </c>
    </row>
    <row r="32" spans="1:7" ht="18" customHeight="1" x14ac:dyDescent="0.25">
      <c r="A32" s="4" t="s">
        <v>41</v>
      </c>
      <c r="B32" s="25">
        <f>0.4*B4+6*('Data Entry'!B$38*'Data Entry'!B44+'Data Entry'!B$39*'Data Entry'!B53)</f>
        <v>832594.10808000003</v>
      </c>
      <c r="C32" s="25">
        <f>0.4*C4+6*('Data Entry'!B$39*'Data Entry'!B53+'Data Entry'!B$62*'Data Entry'!B67)</f>
        <v>523319.84732577344</v>
      </c>
      <c r="D32" s="26">
        <f>C32/B32</f>
        <v>0.62854137718146108</v>
      </c>
      <c r="E32" s="28">
        <f>0.4*E$4+6*('Data Entry'!C$38*'Data Entry'!C44+'Data Entry'!C$39*'Data Entry'!C53)</f>
        <v>832594.10808000003</v>
      </c>
      <c r="F32" s="28">
        <f>0.4*F4+6*('Data Entry'!C$39*'Data Entry'!C53+'Data Entry'!C$62*'Data Entry'!C67)</f>
        <v>523319.84732577344</v>
      </c>
      <c r="G32" s="29">
        <f>F32/E32</f>
        <v>0.62854137718146108</v>
      </c>
    </row>
    <row r="33" spans="1:7" ht="18" customHeight="1" x14ac:dyDescent="0.25">
      <c r="A33" s="4" t="s">
        <v>4</v>
      </c>
      <c r="B33" s="25">
        <f>0.6*B4+0.4*B5+6*('Data Entry'!B$38*'Data Entry'!B45+'Data Entry'!B$39*'Data Entry'!B54)</f>
        <v>896059.86311999988</v>
      </c>
      <c r="C33" s="25">
        <f>0.6*C4+0.4*C5+6*('Data Entry'!B$39*'Data Entry'!B54+'Data Entry'!B$62*'Data Entry'!B68)</f>
        <v>573973.44911346212</v>
      </c>
      <c r="D33" s="26">
        <f t="shared" ref="D33:D37" si="6">C33/B33</f>
        <v>0.64055257102459451</v>
      </c>
      <c r="E33" s="28">
        <f>0.6*E4+0.4*E5+6*('Data Entry'!C$38*'Data Entry'!C45+'Data Entry'!C$39*'Data Entry'!C54)</f>
        <v>896059.86311999988</v>
      </c>
      <c r="F33" s="28">
        <f>0.6*F4+0.4*F5+6*('Data Entry'!C$39*'Data Entry'!C54+'Data Entry'!C$62*'Data Entry'!C68)</f>
        <v>573973.44911346212</v>
      </c>
      <c r="G33" s="29">
        <f t="shared" ref="G33:G37" si="7">F33/E33</f>
        <v>0.64055257102459451</v>
      </c>
    </row>
    <row r="34" spans="1:7" ht="18" customHeight="1" x14ac:dyDescent="0.25">
      <c r="A34" s="4" t="s">
        <v>5</v>
      </c>
      <c r="B34" s="25">
        <f>0.6*B5+0.4*B6+6*('Data Entry'!B$38*'Data Entry'!B46+'Data Entry'!B$39*'Data Entry'!B55)</f>
        <v>863697.70488000009</v>
      </c>
      <c r="C34" s="25">
        <f>0.6*C5+0.4*C6+6*('Data Entry'!B$39*'Data Entry'!B55+'Data Entry'!B$62*'Data Entry'!B69)</f>
        <v>526324.26526307652</v>
      </c>
      <c r="D34" s="26">
        <f t="shared" si="6"/>
        <v>0.60938481402610956</v>
      </c>
      <c r="E34" s="28">
        <f>0.6*E5+0.4*E6+6*('Data Entry'!C$38*'Data Entry'!C46+'Data Entry'!C$39*'Data Entry'!C55)</f>
        <v>863697.70488000009</v>
      </c>
      <c r="F34" s="28">
        <f>0.6*F5+0.4*F6+6*('Data Entry'!C$39*'Data Entry'!C55+'Data Entry'!C$62*'Data Entry'!C69)</f>
        <v>526324.26526307652</v>
      </c>
      <c r="G34" s="29">
        <f t="shared" si="7"/>
        <v>0.60938481402610956</v>
      </c>
    </row>
    <row r="35" spans="1:7" ht="18" customHeight="1" x14ac:dyDescent="0.25">
      <c r="A35" s="4" t="s">
        <v>6</v>
      </c>
      <c r="B35" s="25">
        <f>0.6*B6+0.4*B7+6*('Data Entry'!B$38*'Data Entry'!B47+'Data Entry'!B$39*'Data Entry'!B56)</f>
        <v>787373.94263999991</v>
      </c>
      <c r="C35" s="25">
        <f>0.6*C6+0.4*C7+6*('Data Entry'!B$39*'Data Entry'!B56+'Data Entry'!B$62*'Data Entry'!B70)</f>
        <v>463488.37966974522</v>
      </c>
      <c r="D35" s="26">
        <f t="shared" si="6"/>
        <v>0.58865089961665085</v>
      </c>
      <c r="E35" s="28">
        <f>0.6*E6+0.4*E7+6*('Data Entry'!C$38*'Data Entry'!C47+'Data Entry'!C$39*'Data Entry'!C56)</f>
        <v>787373.94263999991</v>
      </c>
      <c r="F35" s="28">
        <f>0.6*F6+0.4*F7+6*('Data Entry'!C$39*'Data Entry'!C56+'Data Entry'!C$62*'Data Entry'!C70)</f>
        <v>463488.37966974522</v>
      </c>
      <c r="G35" s="29">
        <f t="shared" si="7"/>
        <v>0.58865089961665085</v>
      </c>
    </row>
    <row r="36" spans="1:7" ht="18" customHeight="1" x14ac:dyDescent="0.25">
      <c r="A36" s="4" t="s">
        <v>7</v>
      </c>
      <c r="B36" s="25">
        <f>0.6*B7+0.3*B8+6*('Data Entry'!B$38*'Data Entry'!B48+'Data Entry'!B$39*'Data Entry'!B57)</f>
        <v>563028.61901999998</v>
      </c>
      <c r="C36" s="25">
        <f>0.6*C7+0.3*C8+6*('Data Entry'!B$39*'Data Entry'!B57+'Data Entry'!B$62*'Data Entry'!B71)</f>
        <v>278713.82844000001</v>
      </c>
      <c r="D36" s="26">
        <f t="shared" si="6"/>
        <v>0.49502604134959521</v>
      </c>
      <c r="E36" s="28">
        <f>0.6*E7+0.3*E8+6*('Data Entry'!C$38*'Data Entry'!C48+'Data Entry'!C$39*'Data Entry'!C57)</f>
        <v>563028.61901999998</v>
      </c>
      <c r="F36" s="28">
        <f>0.6*F7+0.3*F8+6*('Data Entry'!C$39*'Data Entry'!C57+'Data Entry'!C$62*'Data Entry'!C71)</f>
        <v>278713.82844000001</v>
      </c>
      <c r="G36" s="29">
        <f t="shared" si="7"/>
        <v>0.49502604134959521</v>
      </c>
    </row>
    <row r="37" spans="1:7" ht="18" customHeight="1" x14ac:dyDescent="0.25">
      <c r="A37" s="5" t="s">
        <v>27</v>
      </c>
      <c r="B37" s="25">
        <f>SUM(B32:B36)</f>
        <v>3942754.2377400002</v>
      </c>
      <c r="C37" s="25">
        <f>SUM(C32:C36)</f>
        <v>2365819.7698120573</v>
      </c>
      <c r="D37" s="26">
        <f t="shared" si="6"/>
        <v>0.60004241379451362</v>
      </c>
      <c r="E37" s="28">
        <f>SUM(E32:E36)</f>
        <v>3942754.2377400002</v>
      </c>
      <c r="F37" s="28">
        <f>SUM(F32:F36)</f>
        <v>2365819.7698120573</v>
      </c>
      <c r="G37" s="29">
        <f t="shared" si="7"/>
        <v>0.60004241379451362</v>
      </c>
    </row>
    <row r="39" spans="1:7" ht="18" customHeight="1" x14ac:dyDescent="0.25">
      <c r="A39" s="9" t="s">
        <v>39</v>
      </c>
    </row>
    <row r="40" spans="1:7" ht="18" customHeight="1" x14ac:dyDescent="0.25">
      <c r="B40" s="24" t="s">
        <v>24</v>
      </c>
      <c r="C40" s="24" t="s">
        <v>25</v>
      </c>
      <c r="D40" s="24" t="s">
        <v>26</v>
      </c>
      <c r="E40" s="27" t="s">
        <v>24</v>
      </c>
      <c r="F40" s="27" t="s">
        <v>25</v>
      </c>
      <c r="G40" s="27" t="s">
        <v>26</v>
      </c>
    </row>
    <row r="41" spans="1:7" ht="18" customHeight="1" x14ac:dyDescent="0.25">
      <c r="A41" s="4" t="s">
        <v>41</v>
      </c>
      <c r="B41" s="25">
        <f>0.2*B4+8*('Data Entry'!B$38*'Data Entry'!B44+'Data Entry'!B$39*'Data Entry'!B53)</f>
        <v>916218.72904000012</v>
      </c>
      <c r="C41" s="25">
        <f>0.2*C4+8*('Data Entry'!B$39*'Data Entry'!B53+'Data Entry'!B$62*'Data Entry'!B67)</f>
        <v>582193.1340343646</v>
      </c>
      <c r="D41" s="26">
        <f>C41/B41</f>
        <v>0.63543029145930863</v>
      </c>
      <c r="E41" s="28">
        <f>0.2*E4+8*('Data Entry'!C$38*'Data Entry'!C44+'Data Entry'!C$39*'Data Entry'!C53)</f>
        <v>916218.72904000012</v>
      </c>
      <c r="F41" s="28">
        <f>0.2*F4+8*('Data Entry'!C$39*'Data Entry'!C53+'Data Entry'!C$62*'Data Entry'!C67)</f>
        <v>582193.1340343646</v>
      </c>
      <c r="G41" s="29">
        <f>F41/E41</f>
        <v>0.63543029145930863</v>
      </c>
    </row>
    <row r="42" spans="1:7" ht="18" customHeight="1" x14ac:dyDescent="0.25">
      <c r="A42" s="4" t="s">
        <v>4</v>
      </c>
      <c r="B42" s="25">
        <f>0.8*B4+0.2*B5+8*('Data Entry'!B$38*'Data Entry'!B45+'Data Entry'!B$39*'Data Entry'!B54)</f>
        <v>935916.56416000007</v>
      </c>
      <c r="C42" s="25">
        <f>0.8*C4+0.2*C5+8*('Data Entry'!B$39*'Data Entry'!B54+'Data Entry'!B$62*'Data Entry'!B68)</f>
        <v>625310.93335128285</v>
      </c>
      <c r="D42" s="26">
        <f t="shared" ref="D42:D46" si="8">C42/B42</f>
        <v>0.66812679387986829</v>
      </c>
      <c r="E42" s="28">
        <f>0.8*E4+0.2*E5+8*('Data Entry'!C$38*'Data Entry'!C45+'Data Entry'!C$39*'Data Entry'!C54)</f>
        <v>935916.56416000007</v>
      </c>
      <c r="F42" s="28">
        <f>0.8*F4+0.2*F5+8*('Data Entry'!C$39*'Data Entry'!C54+'Data Entry'!C$62*'Data Entry'!C68)</f>
        <v>625310.93335128285</v>
      </c>
      <c r="G42" s="29">
        <f t="shared" ref="G42:G46" si="9">F42/E42</f>
        <v>0.66812679387986829</v>
      </c>
    </row>
    <row r="43" spans="1:7" ht="18" customHeight="1" x14ac:dyDescent="0.25">
      <c r="A43" s="4" t="s">
        <v>5</v>
      </c>
      <c r="B43" s="25">
        <f>0.8*B5+0.2*B6+8*('Data Entry'!B$38*'Data Entry'!B46+'Data Entry'!B$39*'Data Entry'!B55)</f>
        <v>895139.62744000019</v>
      </c>
      <c r="C43" s="25">
        <f>0.8*C5+0.2*C6+8*('Data Entry'!B$39*'Data Entry'!B55+'Data Entry'!B$62*'Data Entry'!B69)</f>
        <v>565963.39375076862</v>
      </c>
      <c r="D43" s="26">
        <f t="shared" si="8"/>
        <v>0.63226269556332904</v>
      </c>
      <c r="E43" s="28">
        <f>0.8*E5+0.2*E6+8*('Data Entry'!C$38*'Data Entry'!C46+'Data Entry'!C$39*'Data Entry'!C55)</f>
        <v>895139.62744000019</v>
      </c>
      <c r="F43" s="28">
        <f>0.8*F5+0.2*F6+8*('Data Entry'!C$39*'Data Entry'!C55+'Data Entry'!C$62*'Data Entry'!C69)</f>
        <v>565963.39375076862</v>
      </c>
      <c r="G43" s="29">
        <f t="shared" si="9"/>
        <v>0.63226269556332904</v>
      </c>
    </row>
    <row r="44" spans="1:7" ht="18" customHeight="1" x14ac:dyDescent="0.25">
      <c r="A44" s="4" t="s">
        <v>6</v>
      </c>
      <c r="B44" s="25">
        <f>0.8*B6+0.2*B7+8*('Data Entry'!B$38*'Data Entry'!B47+'Data Entry'!B$39*'Data Entry'!B56)</f>
        <v>794560.91492000013</v>
      </c>
      <c r="C44" s="25">
        <f>0.8*C6+0.2*C7+8*('Data Entry'!B$39*'Data Entry'!B56+'Data Entry'!B$62*'Data Entry'!B70)</f>
        <v>490666.27349299367</v>
      </c>
      <c r="D44" s="26">
        <f t="shared" si="8"/>
        <v>0.6175313487983437</v>
      </c>
      <c r="E44" s="28">
        <f>0.8*E6+0.2*E7+8*('Data Entry'!C$38*'Data Entry'!C47+'Data Entry'!C$39*'Data Entry'!C56)</f>
        <v>794560.91492000013</v>
      </c>
      <c r="F44" s="28">
        <f>0.8*F6+0.2*F7+8*('Data Entry'!C$39*'Data Entry'!C56+'Data Entry'!C$62*'Data Entry'!C70)</f>
        <v>490666.27349299367</v>
      </c>
      <c r="G44" s="29">
        <f t="shared" si="9"/>
        <v>0.6175313487983437</v>
      </c>
    </row>
    <row r="45" spans="1:7" ht="18" customHeight="1" x14ac:dyDescent="0.25">
      <c r="A45" s="4" t="s">
        <v>7</v>
      </c>
      <c r="B45" s="25">
        <f>0.8*B7+0.1*B8+8*('Data Entry'!B$38*'Data Entry'!B48+'Data Entry'!B$39*'Data Entry'!B57)</f>
        <v>648111.11582000006</v>
      </c>
      <c r="C45" s="25">
        <f>0.8*C7+0.1*C8+8*('Data Entry'!B$39*'Data Entry'!B57+'Data Entry'!B$62*'Data Entry'!B71)</f>
        <v>322502.60639999999</v>
      </c>
      <c r="D45" s="26">
        <f t="shared" si="8"/>
        <v>0.49760388076659473</v>
      </c>
      <c r="E45" s="28">
        <f>0.8*E7+0.1*E8+8*('Data Entry'!C$38*'Data Entry'!C48+'Data Entry'!C$39*'Data Entry'!C57)</f>
        <v>648111.11582000006</v>
      </c>
      <c r="F45" s="28">
        <f>0.8*F7+0.1*F8+8*('Data Entry'!C$39*'Data Entry'!C57+'Data Entry'!C$62*'Data Entry'!C71)</f>
        <v>322502.60639999999</v>
      </c>
      <c r="G45" s="29">
        <f t="shared" si="9"/>
        <v>0.49760388076659473</v>
      </c>
    </row>
    <row r="46" spans="1:7" ht="18" customHeight="1" x14ac:dyDescent="0.25">
      <c r="A46" s="5" t="s">
        <v>27</v>
      </c>
      <c r="B46" s="25">
        <f>SUM(B41:B45)</f>
        <v>4189946.9513800004</v>
      </c>
      <c r="C46" s="25">
        <f>SUM(C41:C45)</f>
        <v>2586636.3410294098</v>
      </c>
      <c r="D46" s="26">
        <f t="shared" si="8"/>
        <v>0.61734345829306392</v>
      </c>
      <c r="E46" s="28">
        <f>SUM(E41:E45)</f>
        <v>4189946.9513800004</v>
      </c>
      <c r="F46" s="28">
        <f>SUM(F41:F45)</f>
        <v>2586636.3410294098</v>
      </c>
      <c r="G46" s="29">
        <f t="shared" si="9"/>
        <v>0.61734345829306392</v>
      </c>
    </row>
    <row r="48" spans="1:7" ht="18" customHeight="1" x14ac:dyDescent="0.25">
      <c r="A48" s="9" t="s">
        <v>40</v>
      </c>
    </row>
    <row r="49" spans="1:7" ht="18" customHeight="1" x14ac:dyDescent="0.25">
      <c r="B49" s="24" t="s">
        <v>24</v>
      </c>
      <c r="C49" s="24" t="s">
        <v>25</v>
      </c>
      <c r="D49" s="24" t="s">
        <v>26</v>
      </c>
      <c r="E49" s="27" t="s">
        <v>24</v>
      </c>
      <c r="F49" s="27" t="s">
        <v>25</v>
      </c>
      <c r="G49" s="27" t="s">
        <v>26</v>
      </c>
    </row>
    <row r="50" spans="1:7" ht="18" customHeight="1" x14ac:dyDescent="0.25">
      <c r="A50" s="4" t="s">
        <v>41</v>
      </c>
      <c r="B50" s="25">
        <f>10*('Data Entry'!B$38*'Data Entry'!B44+'Data Entry'!B$39*'Data Entry'!B53)</f>
        <v>999843.35000000009</v>
      </c>
      <c r="C50" s="25">
        <f>10*('Data Entry'!B$39*'Data Entry'!B53+'Data Entry'!B$62*'Data Entry'!B67)</f>
        <v>641066.42074295576</v>
      </c>
      <c r="D50" s="26">
        <f>C50/B50</f>
        <v>0.64116685953150132</v>
      </c>
      <c r="E50" s="28">
        <f>10*('Data Entry'!C$38*'Data Entry'!C44+'Data Entry'!C$39*'Data Entry'!C53)</f>
        <v>999843.35000000009</v>
      </c>
      <c r="F50" s="28">
        <f>10*('Data Entry'!C$39*'Data Entry'!C53+'Data Entry'!C$62*'Data Entry'!C67)</f>
        <v>641066.42074295576</v>
      </c>
      <c r="G50" s="29">
        <f>F50/E50</f>
        <v>0.64116685953150132</v>
      </c>
    </row>
    <row r="51" spans="1:7" ht="18" customHeight="1" x14ac:dyDescent="0.25">
      <c r="A51" s="4" t="s">
        <v>4</v>
      </c>
      <c r="B51" s="25">
        <f>B4+10*('Data Entry'!B$38*'Data Entry'!B45+'Data Entry'!B$39*'Data Entry'!B54)</f>
        <v>975773.26520000002</v>
      </c>
      <c r="C51" s="25">
        <f>C4+10*('Data Entry'!B$39*'Data Entry'!B54+'Data Entry'!B$62*'Data Entry'!B68)</f>
        <v>676648.41758910357</v>
      </c>
      <c r="D51" s="26">
        <f t="shared" ref="D51:D55" si="10">C51/B51</f>
        <v>0.69344840827383591</v>
      </c>
      <c r="E51" s="28">
        <f>E4+10*('Data Entry'!C$38*'Data Entry'!C45+'Data Entry'!C$39*'Data Entry'!C54)</f>
        <v>975773.26520000002</v>
      </c>
      <c r="F51" s="28">
        <f>F4+10*('Data Entry'!C$39*'Data Entry'!C54+'Data Entry'!C$62*'Data Entry'!C68)</f>
        <v>676648.41758910357</v>
      </c>
      <c r="G51" s="29">
        <f t="shared" ref="G51:G55" si="11">F51/E51</f>
        <v>0.69344840827383591</v>
      </c>
    </row>
    <row r="52" spans="1:7" ht="18" customHeight="1" x14ac:dyDescent="0.25">
      <c r="A52" s="4" t="s">
        <v>5</v>
      </c>
      <c r="B52" s="25">
        <f>B5+10*('Data Entry'!B$38*'Data Entry'!B46+'Data Entry'!B$39*'Data Entry'!B55)</f>
        <v>926581.55</v>
      </c>
      <c r="C52" s="25">
        <f>C5+10*('Data Entry'!B$39*'Data Entry'!B55+'Data Entry'!B$62*'Data Entry'!B69)</f>
        <v>605602.52223846084</v>
      </c>
      <c r="D52" s="26">
        <f t="shared" si="10"/>
        <v>0.65358793539377169</v>
      </c>
      <c r="E52" s="28">
        <f>E5+10*('Data Entry'!C$38*'Data Entry'!C46+'Data Entry'!C$39*'Data Entry'!C55)</f>
        <v>926581.55</v>
      </c>
      <c r="F52" s="28">
        <f>F5+10*('Data Entry'!C$39*'Data Entry'!C55+'Data Entry'!C$62*'Data Entry'!C69)</f>
        <v>605602.52223846084</v>
      </c>
      <c r="G52" s="29">
        <f t="shared" si="11"/>
        <v>0.65358793539377169</v>
      </c>
    </row>
    <row r="53" spans="1:7" ht="18" customHeight="1" x14ac:dyDescent="0.25">
      <c r="A53" s="4" t="s">
        <v>6</v>
      </c>
      <c r="B53" s="25">
        <f>B6+10*('Data Entry'!B$38*'Data Entry'!B47+'Data Entry'!B$39*'Data Entry'!B56)</f>
        <v>801747.8872</v>
      </c>
      <c r="C53" s="25">
        <f>C6+10*('Data Entry'!B$39*'Data Entry'!B56+'Data Entry'!B$62*'Data Entry'!B70)</f>
        <v>517844.16731624212</v>
      </c>
      <c r="D53" s="26">
        <f t="shared" si="10"/>
        <v>0.64589402177877309</v>
      </c>
      <c r="E53" s="28">
        <f>E6+10*('Data Entry'!C$38*'Data Entry'!C47+'Data Entry'!C$39*'Data Entry'!C56)</f>
        <v>801747.8872</v>
      </c>
      <c r="F53" s="28">
        <f>F6+10*('Data Entry'!C$39*'Data Entry'!C56+'Data Entry'!C$62*'Data Entry'!C70)</f>
        <v>517844.16731624212</v>
      </c>
      <c r="G53" s="29">
        <f t="shared" si="11"/>
        <v>0.64589402177877309</v>
      </c>
    </row>
    <row r="54" spans="1:7" ht="18" customHeight="1" x14ac:dyDescent="0.25">
      <c r="A54" s="4" t="s">
        <v>7</v>
      </c>
      <c r="B54" s="25">
        <f>0.8*B7+10*('Data Entry'!B$38*'Data Entry'!B48+'Data Entry'!B$39*'Data Entry'!B57)</f>
        <v>614228.91064000002</v>
      </c>
      <c r="C54" s="25">
        <f>0.8*C7+10*('Data Entry'!B$39*'Data Entry'!B57+'Data Entry'!B$62*'Data Entry'!B71)</f>
        <v>306272.38855999999</v>
      </c>
      <c r="D54" s="26">
        <f t="shared" si="10"/>
        <v>0.49862906687488445</v>
      </c>
      <c r="E54" s="28">
        <f>0.8*E7+10*('Data Entry'!C$38*'Data Entry'!C48+'Data Entry'!C$39*'Data Entry'!C57)</f>
        <v>614228.91064000002</v>
      </c>
      <c r="F54" s="28">
        <f>0.8*F7+10*('Data Entry'!C$39*'Data Entry'!C57+'Data Entry'!C$62*'Data Entry'!C71)</f>
        <v>306272.38855999999</v>
      </c>
      <c r="G54" s="29">
        <f t="shared" si="11"/>
        <v>0.49862906687488445</v>
      </c>
    </row>
    <row r="55" spans="1:7" ht="18" customHeight="1" x14ac:dyDescent="0.25">
      <c r="A55" s="5" t="s">
        <v>27</v>
      </c>
      <c r="B55" s="25">
        <f>SUM(B50:B54)</f>
        <v>4318174.9630400008</v>
      </c>
      <c r="C55" s="25">
        <f>SUM(C50:C54)</f>
        <v>2747433.9164467622</v>
      </c>
      <c r="D55" s="26">
        <f t="shared" si="10"/>
        <v>0.63624886438426409</v>
      </c>
      <c r="E55" s="28">
        <f>SUM(E50:E54)</f>
        <v>4318174.9630400008</v>
      </c>
      <c r="F55" s="28">
        <f>SUM(F50:F54)</f>
        <v>2747433.9164467622</v>
      </c>
      <c r="G55" s="29">
        <f t="shared" si="11"/>
        <v>0.63624886438426409</v>
      </c>
    </row>
  </sheetData>
  <sheetProtection password="C92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Entry</vt:lpstr>
      <vt:lpstr>Results - Tables</vt:lpstr>
      <vt:lpstr>Calculation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Spetz</dc:creator>
  <cp:lastModifiedBy>Spetz, Joanne</cp:lastModifiedBy>
  <dcterms:created xsi:type="dcterms:W3CDTF">2016-02-22T16:33:19Z</dcterms:created>
  <dcterms:modified xsi:type="dcterms:W3CDTF">2016-12-06T05:16:03Z</dcterms:modified>
</cp:coreProperties>
</file>